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<sst xmlns="http://schemas.openxmlformats.org/spreadsheetml/2006/main" count="171" uniqueCount="168">
  <si>
    <t>Sheer Line Width Is</t>
  </si>
  <si>
    <t>Radius of Sheer&amp;Chine is</t>
  </si>
  <si>
    <t>Enter Height of Side Panel at Flare</t>
  </si>
  <si>
    <t>Sheer Line Angle Is (degrees)</t>
  </si>
  <si>
    <t>Chine Chord Length</t>
  </si>
  <si>
    <t>Enter OAL at Sheer</t>
  </si>
  <si>
    <t>Enter Beam at Sheer</t>
  </si>
  <si>
    <t>Chine LineWidth Is</t>
  </si>
  <si>
    <t>Rake Is</t>
  </si>
  <si>
    <t>Chine Line Width Is</t>
  </si>
  <si>
    <t>OAL of Chine Chord</t>
  </si>
  <si>
    <t>Sheer Line Angle Is (radians)</t>
  </si>
  <si>
    <t>The New OAL at Sheer</t>
  </si>
  <si>
    <t>Angle At Station 24 (Radians)</t>
  </si>
  <si>
    <t>Angle At Station 24 (Degrees)</t>
  </si>
  <si>
    <t>Length of Sheer from Station 24 to end</t>
  </si>
  <si>
    <t>Length of Chine From Station 24 to End</t>
  </si>
  <si>
    <t>The New OAL at Chine</t>
  </si>
  <si>
    <t>Side Panel Modification Data</t>
  </si>
  <si>
    <t>The New Sheer Chord from Station 24 to end</t>
  </si>
  <si>
    <t>The New Chine Chord from Station 24 to end</t>
  </si>
  <si>
    <t>Sheer Line Width at Station 96"</t>
  </si>
  <si>
    <t>Sheer Line Width at Station 90" (&amp; 102")</t>
  </si>
  <si>
    <t>Sheer Line Width at Station 84"</t>
  </si>
  <si>
    <t>Sheer Line Width at Station 78"</t>
  </si>
  <si>
    <t>Sheer Line Width at Station 72"</t>
  </si>
  <si>
    <t>Sheer Line Width at Station 66"</t>
  </si>
  <si>
    <t>Sheer Line Width at Station 60"</t>
  </si>
  <si>
    <t>Sheer Line Width at Station 54"</t>
  </si>
  <si>
    <t>Sheer Line Width at Station 48"</t>
  </si>
  <si>
    <t>Sheer Line Width at Station 42</t>
  </si>
  <si>
    <t>Sheer Line Width at Station 36"</t>
  </si>
  <si>
    <t>Sheer Line Width at Station 30"</t>
  </si>
  <si>
    <t>Sheer Line Width at Station 24"</t>
  </si>
  <si>
    <t>Chine Line Width at Station 96"</t>
  </si>
  <si>
    <t>Chine Line Width at Station 90" (&amp; 102")</t>
  </si>
  <si>
    <t>Chine Line Width at Station 84"</t>
  </si>
  <si>
    <t>Chine Line Width at Station 78"</t>
  </si>
  <si>
    <t>Chine Line Width at Station 72"</t>
  </si>
  <si>
    <t>Chine Line Width at Station 66"</t>
  </si>
  <si>
    <t>Chine Line Width at Station 60"</t>
  </si>
  <si>
    <t>Chine Line Width at Station 54"</t>
  </si>
  <si>
    <t>Chine Line Width at Station 48"</t>
  </si>
  <si>
    <t>Chine Line Width at Station 42</t>
  </si>
  <si>
    <t>Chine Line Width at Station 36"</t>
  </si>
  <si>
    <t>Chine Line Width at Station 30"</t>
  </si>
  <si>
    <t>Chine Line Width at Station 24"</t>
  </si>
  <si>
    <t>Chine Line Width at End Of Chine</t>
  </si>
  <si>
    <t>Data For Body View</t>
  </si>
  <si>
    <t>Data For Plan View</t>
  </si>
  <si>
    <t>Data For Profile View</t>
  </si>
  <si>
    <t>Sheer Line Width at Station 0" &amp; 192"</t>
  </si>
  <si>
    <t>Sheer Height at Stations -4.975" and 196.975"</t>
  </si>
  <si>
    <t>Sheer Height at Station 24"</t>
  </si>
  <si>
    <t>Sheer Height at Station 30"</t>
  </si>
  <si>
    <t>Sheer Height at Station 36"</t>
  </si>
  <si>
    <t>Sheer Height at Station 42"</t>
  </si>
  <si>
    <t>Sheer Height at Station 48"</t>
  </si>
  <si>
    <t>Sheer Height at Station 54"</t>
  </si>
  <si>
    <t>Sheer Height at Station 60"</t>
  </si>
  <si>
    <t>Sheer Height at Station 66"</t>
  </si>
  <si>
    <t>Sheer Height at Station 72"</t>
  </si>
  <si>
    <t>Chine Height at 11.584" &amp; 180.416</t>
  </si>
  <si>
    <t>Chine Height at Station 72"</t>
  </si>
  <si>
    <t>Chine Height at Station 66"</t>
  </si>
  <si>
    <t>Chine Height at Station 60"</t>
  </si>
  <si>
    <t>Chine Height at Station 54"</t>
  </si>
  <si>
    <t>Chine Height at Station 48"</t>
  </si>
  <si>
    <t>Chine Height at Station 42"</t>
  </si>
  <si>
    <t>Chine Height at Station 36"</t>
  </si>
  <si>
    <t>Chine Height at Station 30"</t>
  </si>
  <si>
    <t>Chine Height at Station 24"</t>
  </si>
  <si>
    <t>Sheer Height at Station 78"</t>
  </si>
  <si>
    <t>Sheer Height at Station 84"</t>
  </si>
  <si>
    <t>Sheer Height at Station 90"</t>
  </si>
  <si>
    <t>Sheer Height at Station 96"</t>
  </si>
  <si>
    <t>Chine Height at Station 78"</t>
  </si>
  <si>
    <t>Chine Height at Station 84"</t>
  </si>
  <si>
    <t>Chine Height at Station 90"</t>
  </si>
  <si>
    <t>Chine Height at Station 96"</t>
  </si>
  <si>
    <t>Length of Stem</t>
  </si>
  <si>
    <t>Arc of Sheer and Chine from 24' to 168</t>
  </si>
  <si>
    <t>Flat Side Panel Length of Sheer</t>
  </si>
  <si>
    <t>Flat Side Panel Length of Chine</t>
  </si>
  <si>
    <t>Formulas</t>
  </si>
  <si>
    <t>Enter Sheer Profile Height At Beam</t>
  </si>
  <si>
    <t>Input 192</t>
  </si>
  <si>
    <t>Input 48</t>
  </si>
  <si>
    <t>Input 10</t>
  </si>
  <si>
    <t>Input 16.25</t>
  </si>
  <si>
    <t>SQRT(C$5^2+(C$4/2)^2)</t>
  </si>
  <si>
    <t>((C$3/2)^2+C$8^2)/(2*C$8)</t>
  </si>
  <si>
    <t>(ASIN(C$5/C$8))</t>
  </si>
  <si>
    <t>(ASIN(C$5/C$8))/PI()*180</t>
  </si>
  <si>
    <t>C$8-(C$9-(SQRT((C$9^2)-6^2)))</t>
  </si>
  <si>
    <t>C$8-(C$9-(SQRT((C$9^2)-12^2)))</t>
  </si>
  <si>
    <t>C$8-(C$9-(SQRT((C$9^2)-18^2)))</t>
  </si>
  <si>
    <t>C$8-(C$9-(SQRT((C$9^2)-24^2)))</t>
  </si>
  <si>
    <t>C$8-(C$9-(SQRT((C$9^2)-30^2)))</t>
  </si>
  <si>
    <t>C$8-(C$9-(SQRT((C$9^2)-36^2)))</t>
  </si>
  <si>
    <t>C$8-(C$9-(SQRT((C$9^2)-42^2)))</t>
  </si>
  <si>
    <t>C$8-(C$9-(SQRT((C$9^2)-48^2)))</t>
  </si>
  <si>
    <t>C$8-(C$9-(SQRT((C$9^2)-54^2)))</t>
  </si>
  <si>
    <t>C$8-(C$9-(SQRT((C$9^2)-60^2)))</t>
  </si>
  <si>
    <t>C$8-(C$9-(SQRT((C$9^2)-66^2)))</t>
  </si>
  <si>
    <t>C$8-(C$9-(SQRT((C$9^2)-72^2)))</t>
  </si>
  <si>
    <t>1/((COS(C$10)))*(C$4/2-(C$6*(SIN(C$10))))</t>
  </si>
  <si>
    <t>C$26-(C$9-(SQRT((C$9^2)-6^2)))</t>
  </si>
  <si>
    <t>C$26-(C$9-(SQRT((C$9^2)-12^2)))</t>
  </si>
  <si>
    <t>C$26-(C$9-(SQRT((C$9^2)-18^2)))</t>
  </si>
  <si>
    <t>C$26-(C$9-(SQRT((C$9^2)-24^2)))</t>
  </si>
  <si>
    <t>C$26-(C$9-(SQRT((C$9^2)-30^2)))</t>
  </si>
  <si>
    <t>C$26-(C$9-(SQRT((C$9^2)-36^2)))</t>
  </si>
  <si>
    <t>C$26-(C$9-(SQRT((C$9^2)-48^2)))</t>
  </si>
  <si>
    <t>C$26-(C$9-(SQRT((C$9^2)-42^2)))</t>
  </si>
  <si>
    <t>C$26-(C$9-(SQRT((C$9^2)-54^2)))</t>
  </si>
  <si>
    <t>C$26-(C$9-(SQRT((C$9^2)-60^2)))</t>
  </si>
  <si>
    <t>C$26-(C$9-(SQRT((C$9^2)-66^2)))</t>
  </si>
  <si>
    <t>C$26-(C$9-(SQRT((C$9^2)-72^2)))</t>
  </si>
  <si>
    <t>(TAN(C$10))*(C$4/2-(C$6*(SIN(C$10))))</t>
  </si>
  <si>
    <t>C$8-C$41</t>
  </si>
  <si>
    <t>2*SQRT((C$9^2)-((C$43+C$9-C$8)^2))</t>
  </si>
  <si>
    <t>ASIN((96-24)/C$9)</t>
  </si>
  <si>
    <t>C$46*180/PI()</t>
  </si>
  <si>
    <t>1/TAN(C$46)*C$24</t>
  </si>
  <si>
    <t>1/SIN(C$46)*C$24</t>
  </si>
  <si>
    <t>(2*C$48)+(C$3-48)</t>
  </si>
  <si>
    <t>1/TAN(C$46)*C$39</t>
  </si>
  <si>
    <t>1/SIN(C$46)*C$39</t>
  </si>
  <si>
    <t>(2*C$51)+(C$3-48)</t>
  </si>
  <si>
    <t>C$12*SIN(C$10)</t>
  </si>
  <si>
    <t>C$13*SIN(C$10)</t>
  </si>
  <si>
    <t>C$14*SIN(C$10)</t>
  </si>
  <si>
    <t>C$15*SIN(C$10)</t>
  </si>
  <si>
    <t>C$16*SIN(C$10)</t>
  </si>
  <si>
    <t>C$17*SIN(C$10)</t>
  </si>
  <si>
    <t>C$18*SIN(C$10)</t>
  </si>
  <si>
    <t>C$19*SIN(C$10)</t>
  </si>
  <si>
    <t>C$20*SIN(C$10)</t>
  </si>
  <si>
    <t>C$21*SIN(C$10)</t>
  </si>
  <si>
    <t>C$22*SIN(C$10)</t>
  </si>
  <si>
    <t>C$23*SIN(C$10)</t>
  </si>
  <si>
    <t>C$24*SIN(C$10)</t>
  </si>
  <si>
    <t>C$70-C$42</t>
  </si>
  <si>
    <t>C$70-((C$27-C$28)*SIN(C$10))</t>
  </si>
  <si>
    <t>C$70-((C$27-C$29)*SIN(C$10))</t>
  </si>
  <si>
    <t>C$70-((C$27-C$30)*SIN(C$10))</t>
  </si>
  <si>
    <t>C$70-((C$27-C$31)*SIN(C$10))</t>
  </si>
  <si>
    <t>C$70-((C$27-C$32)*SIN(C$10))</t>
  </si>
  <si>
    <t>C$70-((C$27-C$33)*SIN(C$10))</t>
  </si>
  <si>
    <t>C$70-((C$27-C$34)*SIN(C$10))</t>
  </si>
  <si>
    <t>C$70-((C$27-C$35)*SIN(C$10))</t>
  </si>
  <si>
    <t>C$70-((C$27-C$36)*SIN(C$10))</t>
  </si>
  <si>
    <t>C$70-((C$27-C$37)*SIN(C$10))</t>
  </si>
  <si>
    <t>C$70-((C$27-C$38)*SIN(C$10))</t>
  </si>
  <si>
    <t>C$70-((C$27-C$39)*SIN(C$10))</t>
  </si>
  <si>
    <t>SQRT((((C$50-C$53)/2)^2)+(C$69^2))</t>
  </si>
  <si>
    <t>(C$9*2*PI())*(2*(ASIN(72/C$9))/(2*PI()))</t>
  </si>
  <si>
    <t>C$84+(2*C$49)</t>
  </si>
  <si>
    <t>C$84+(2*C$52)</t>
  </si>
  <si>
    <t>This spreadsheet performs calculations from Barend Migchelsen's articles on "Boat Building With A Difference".</t>
  </si>
  <si>
    <t>Calculate Any Cicle From Chord and Distance From Chord to Circle</t>
  </si>
  <si>
    <t>Enter Full Chord</t>
  </si>
  <si>
    <t>Input 168.832</t>
  </si>
  <si>
    <t>Enter Height from Chord to Circle</t>
  </si>
  <si>
    <t>Input 7.399</t>
  </si>
  <si>
    <t>Radius of Circle Is</t>
  </si>
  <si>
    <t>((C$88/2)^2+C$89^2)/(C$89*2)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</si>
</sst>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0000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2" borderId="0" xfId="0" applyNumberFormat="1" applyFill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workbookViewId="0" topLeftCell="A55">
      <selection activeCell="F74" sqref="F74"/>
    </sheetView>
  </sheetViews>
  <sheetFormatPr defaultColWidth="9.140625" defaultRowHeight="12.75"/>
  <cols>
    <col min="1" max="1" width="3.00390625" style="16" bestFit="1" customWidth="1"/>
    <col min="2" max="2" width="40.140625" style="0" bestFit="1" customWidth="1"/>
    <col min="3" max="3" width="8.57421875" style="1" bestFit="1" customWidth="1"/>
    <col min="4" max="4" width="37.140625" style="0" bestFit="1" customWidth="1"/>
  </cols>
  <sheetData>
    <row r="1" spans="1:4" s="10" customFormat="1" ht="12.75">
      <c r="A1" s="15">
        <v>1</v>
      </c>
      <c r="B1" s="18" t="s">
        <v>48</v>
      </c>
      <c r="C1" s="18"/>
      <c r="D1" s="8" t="s">
        <v>84</v>
      </c>
    </row>
    <row r="2" spans="1:4" s="10" customFormat="1" ht="12.75">
      <c r="A2" s="15">
        <v>2</v>
      </c>
      <c r="B2" s="9"/>
      <c r="C2" s="9"/>
      <c r="D2" s="8"/>
    </row>
    <row r="3" spans="1:4" ht="12.75">
      <c r="A3" s="16">
        <v>3</v>
      </c>
      <c r="B3" s="3" t="s">
        <v>5</v>
      </c>
      <c r="C3" s="14">
        <v>192</v>
      </c>
      <c r="D3" s="5" t="s">
        <v>86</v>
      </c>
    </row>
    <row r="4" spans="1:4" ht="12.75">
      <c r="A4" s="16">
        <v>4</v>
      </c>
      <c r="B4" s="3" t="s">
        <v>6</v>
      </c>
      <c r="C4" s="14">
        <v>48</v>
      </c>
      <c r="D4" s="5" t="s">
        <v>87</v>
      </c>
    </row>
    <row r="5" spans="1:4" ht="12.75">
      <c r="A5" s="16">
        <v>5</v>
      </c>
      <c r="B5" s="3" t="s">
        <v>85</v>
      </c>
      <c r="C5" s="14">
        <v>10</v>
      </c>
      <c r="D5" s="5" t="s">
        <v>88</v>
      </c>
    </row>
    <row r="6" spans="1:4" ht="12.75">
      <c r="A6" s="16">
        <v>6</v>
      </c>
      <c r="B6" s="3" t="s">
        <v>2</v>
      </c>
      <c r="C6" s="14">
        <v>16.25</v>
      </c>
      <c r="D6" s="5" t="s">
        <v>89</v>
      </c>
    </row>
    <row r="7" spans="1:4" s="10" customFormat="1" ht="12.75">
      <c r="A7" s="15">
        <v>7</v>
      </c>
      <c r="B7" s="18" t="s">
        <v>49</v>
      </c>
      <c r="C7" s="18"/>
      <c r="D7" s="11"/>
    </row>
    <row r="8" spans="1:4" ht="12.75">
      <c r="A8" s="16">
        <v>8</v>
      </c>
      <c r="B8" s="3" t="s">
        <v>0</v>
      </c>
      <c r="C8" s="5">
        <f>SQRT(C$5^2+(C$4/2)^2)</f>
        <v>26</v>
      </c>
      <c r="D8" s="5" t="s">
        <v>90</v>
      </c>
    </row>
    <row r="9" spans="1:4" ht="12.75">
      <c r="A9" s="16">
        <v>9</v>
      </c>
      <c r="B9" s="3" t="s">
        <v>1</v>
      </c>
      <c r="C9" s="5">
        <f>((C$3/2)^2+C$8^2)/(2*C$8)</f>
        <v>190.23076923076923</v>
      </c>
      <c r="D9" s="5" t="s">
        <v>91</v>
      </c>
    </row>
    <row r="10" spans="1:4" ht="12.75">
      <c r="A10" s="16">
        <v>10</v>
      </c>
      <c r="B10" s="3" t="s">
        <v>11</v>
      </c>
      <c r="C10" s="5">
        <f>(ASIN(C$5/C$8))</f>
        <v>0.39479111969976155</v>
      </c>
      <c r="D10" s="5" t="s">
        <v>92</v>
      </c>
    </row>
    <row r="11" spans="1:4" ht="12.75">
      <c r="A11" s="16">
        <v>11</v>
      </c>
      <c r="B11" s="3" t="s">
        <v>3</v>
      </c>
      <c r="C11" s="5">
        <f>(ASIN(C$5/C$8))/PI()*180</f>
        <v>22.61986494804043</v>
      </c>
      <c r="D11" s="13" t="s">
        <v>93</v>
      </c>
    </row>
    <row r="12" spans="1:4" ht="12.75">
      <c r="A12" s="16">
        <v>12</v>
      </c>
      <c r="B12" s="3" t="s">
        <v>21</v>
      </c>
      <c r="C12" s="7">
        <f>SQRT(C$5^2+(C$4/2)^2)</f>
        <v>26</v>
      </c>
      <c r="D12" s="7" t="s">
        <v>90</v>
      </c>
    </row>
    <row r="13" spans="1:4" ht="12.75">
      <c r="A13" s="16">
        <v>13</v>
      </c>
      <c r="B13" s="3" t="s">
        <v>22</v>
      </c>
      <c r="C13" s="5">
        <f>C$8-(C$9-(SQRT((C$9^2)-6^2)))</f>
        <v>25.905354538834786</v>
      </c>
      <c r="D13" s="6" t="s">
        <v>94</v>
      </c>
    </row>
    <row r="14" spans="1:4" ht="12.75">
      <c r="A14" s="16">
        <v>14</v>
      </c>
      <c r="B14" s="3" t="s">
        <v>23</v>
      </c>
      <c r="C14" s="5">
        <f>C$8-(C$9-(SQRT((C$9^2)-12^2)))</f>
        <v>25.621135058153243</v>
      </c>
      <c r="D14" s="3" t="s">
        <v>95</v>
      </c>
    </row>
    <row r="15" spans="1:4" ht="12.75">
      <c r="A15" s="16">
        <v>15</v>
      </c>
      <c r="B15" s="3" t="s">
        <v>24</v>
      </c>
      <c r="C15" s="5">
        <f>C$8-(C$9-(SQRT((C$9^2)-18^2)))</f>
        <v>25.146488015527837</v>
      </c>
      <c r="D15" s="3" t="s">
        <v>96</v>
      </c>
    </row>
    <row r="16" spans="1:4" ht="12.75">
      <c r="A16" s="16">
        <v>16</v>
      </c>
      <c r="B16" s="3" t="s">
        <v>25</v>
      </c>
      <c r="C16" s="5">
        <f>C$8-(C$9-(SQRT((C$9^2)-24^2)))</f>
        <v>24.479976520844446</v>
      </c>
      <c r="D16" s="3" t="s">
        <v>97</v>
      </c>
    </row>
    <row r="17" spans="1:4" ht="12.75">
      <c r="A17" s="16">
        <v>17</v>
      </c>
      <c r="B17" s="3" t="s">
        <v>26</v>
      </c>
      <c r="C17" s="5">
        <f>C$8-(C$9-(SQRT((C$9^2)-30^2)))</f>
        <v>23.619558323191086</v>
      </c>
      <c r="D17" s="3" t="s">
        <v>98</v>
      </c>
    </row>
    <row r="18" spans="1:4" ht="12.75">
      <c r="A18" s="16">
        <v>18</v>
      </c>
      <c r="B18" s="3" t="s">
        <v>27</v>
      </c>
      <c r="C18" s="5">
        <f>C$8-(C$9-(SQRT((C$9^2)-36^2)))</f>
        <v>22.56255388900982</v>
      </c>
      <c r="D18" s="3" t="s">
        <v>99</v>
      </c>
    </row>
    <row r="19" spans="1:4" ht="12.75">
      <c r="A19" s="16">
        <v>19</v>
      </c>
      <c r="B19" s="3" t="s">
        <v>28</v>
      </c>
      <c r="C19" s="5">
        <f>C$8-(C$9-(SQRT((C$9^2)-42^2)))</f>
        <v>21.30560338153066</v>
      </c>
      <c r="D19" s="3" t="s">
        <v>100</v>
      </c>
    </row>
    <row r="20" spans="1:4" ht="12.75">
      <c r="A20" s="16">
        <v>20</v>
      </c>
      <c r="B20" s="3" t="s">
        <v>29</v>
      </c>
      <c r="C20" s="5">
        <f>C$8-(C$9-(SQRT((C$9^2)-48^2)))</f>
        <v>19.84461087784328</v>
      </c>
      <c r="D20" s="3" t="s">
        <v>101</v>
      </c>
    </row>
    <row r="21" spans="1:4" ht="12.75">
      <c r="A21" s="16">
        <v>21</v>
      </c>
      <c r="B21" s="3" t="s">
        <v>30</v>
      </c>
      <c r="C21" s="5">
        <f>C$8-(C$9-(SQRT((C$9^2)-54^2)))</f>
        <v>18.174673566670833</v>
      </c>
      <c r="D21" s="3" t="s">
        <v>102</v>
      </c>
    </row>
    <row r="22" spans="1:4" ht="12.75">
      <c r="A22" s="16">
        <v>22</v>
      </c>
      <c r="B22" s="3" t="s">
        <v>31</v>
      </c>
      <c r="C22" s="5">
        <f>C$8-(C$9-(SQRT((C$9^2)-60^2)))</f>
        <v>16.289992905141816</v>
      </c>
      <c r="D22" s="3" t="s">
        <v>103</v>
      </c>
    </row>
    <row r="23" spans="1:4" ht="12.75">
      <c r="A23" s="16">
        <v>23</v>
      </c>
      <c r="B23" s="3" t="s">
        <v>32</v>
      </c>
      <c r="C23" s="5">
        <f>C$8-(C$9-(SQRT((C$9^2)-66^2)))</f>
        <v>14.183763703434806</v>
      </c>
      <c r="D23" s="3" t="s">
        <v>104</v>
      </c>
    </row>
    <row r="24" spans="1:4" ht="12.75">
      <c r="A24" s="16">
        <v>24</v>
      </c>
      <c r="B24" s="3" t="s">
        <v>33</v>
      </c>
      <c r="C24" s="5">
        <f>C$8-(C$9-(SQRT((C$9^2)-72^2)))</f>
        <v>11.848035746235809</v>
      </c>
      <c r="D24" s="3" t="s">
        <v>105</v>
      </c>
    </row>
    <row r="25" spans="1:4" ht="12.75">
      <c r="A25" s="16">
        <v>25</v>
      </c>
      <c r="B25" s="3" t="s">
        <v>51</v>
      </c>
      <c r="C25" s="5">
        <v>0</v>
      </c>
      <c r="D25" s="3"/>
    </row>
    <row r="26" spans="1:4" ht="12.75">
      <c r="A26" s="16">
        <v>26</v>
      </c>
      <c r="B26" s="3" t="s">
        <v>9</v>
      </c>
      <c r="C26" s="5">
        <f>1/((COS(C$10)))*(C$4/2-(C$6*(SIN(C$10))))</f>
        <v>19.229166666666668</v>
      </c>
      <c r="D26" s="3" t="s">
        <v>106</v>
      </c>
    </row>
    <row r="27" spans="1:4" ht="12.75">
      <c r="A27" s="16">
        <v>27</v>
      </c>
      <c r="B27" s="3" t="s">
        <v>34</v>
      </c>
      <c r="C27" s="5">
        <f>1/((COS(C$10)))*(C$4/2-(C$6*(SIN(C$10))))</f>
        <v>19.229166666666668</v>
      </c>
      <c r="D27" s="3" t="s">
        <v>106</v>
      </c>
    </row>
    <row r="28" spans="1:4" ht="12.75">
      <c r="A28" s="16">
        <v>28</v>
      </c>
      <c r="B28" s="3" t="s">
        <v>35</v>
      </c>
      <c r="C28" s="5">
        <f>C$26-(C$9-(SQRT((C$9^2)-6^2)))</f>
        <v>19.134521205501454</v>
      </c>
      <c r="D28" s="3" t="s">
        <v>107</v>
      </c>
    </row>
    <row r="29" spans="1:4" ht="12.75">
      <c r="A29" s="16">
        <v>29</v>
      </c>
      <c r="B29" s="3" t="s">
        <v>36</v>
      </c>
      <c r="C29" s="5">
        <f>C$26-(C$9-(SQRT((C$9^2)-12^2)))</f>
        <v>18.85030172481991</v>
      </c>
      <c r="D29" s="3" t="s">
        <v>108</v>
      </c>
    </row>
    <row r="30" spans="1:4" ht="12.75">
      <c r="A30" s="16">
        <v>30</v>
      </c>
      <c r="B30" s="3" t="s">
        <v>37</v>
      </c>
      <c r="C30" s="5">
        <f>C$26-(C$9-(SQRT((C$9^2)-18^2)))</f>
        <v>18.375654682194504</v>
      </c>
      <c r="D30" s="3" t="s">
        <v>109</v>
      </c>
    </row>
    <row r="31" spans="1:4" ht="12.75">
      <c r="A31" s="16">
        <v>31</v>
      </c>
      <c r="B31" s="3" t="s">
        <v>38</v>
      </c>
      <c r="C31" s="5">
        <f>C$26-(C$9-(SQRT((C$9^2)-24^2)))</f>
        <v>17.709143187511113</v>
      </c>
      <c r="D31" s="3" t="s">
        <v>110</v>
      </c>
    </row>
    <row r="32" spans="1:4" ht="12.75">
      <c r="A32" s="16">
        <v>32</v>
      </c>
      <c r="B32" s="3" t="s">
        <v>39</v>
      </c>
      <c r="C32" s="5">
        <f>C$26-(C$9-(SQRT((C$9^2)-30^2)))</f>
        <v>16.848724989857754</v>
      </c>
      <c r="D32" s="3" t="s">
        <v>111</v>
      </c>
    </row>
    <row r="33" spans="1:4" ht="12.75">
      <c r="A33" s="16">
        <v>33</v>
      </c>
      <c r="B33" s="3" t="s">
        <v>40</v>
      </c>
      <c r="C33" s="5">
        <f>C$26-(C$9-(SQRT((C$9^2)-36^2)))</f>
        <v>15.791720555676488</v>
      </c>
      <c r="D33" s="3" t="s">
        <v>112</v>
      </c>
    </row>
    <row r="34" spans="1:4" ht="12.75">
      <c r="A34" s="16">
        <v>34</v>
      </c>
      <c r="B34" s="3" t="s">
        <v>41</v>
      </c>
      <c r="C34" s="5">
        <f>C$26-(C$9-(SQRT((C$9^2)-42^2)))</f>
        <v>14.534770048197327</v>
      </c>
      <c r="D34" s="3" t="s">
        <v>114</v>
      </c>
    </row>
    <row r="35" spans="1:4" ht="12.75">
      <c r="A35" s="16">
        <v>35</v>
      </c>
      <c r="B35" s="3" t="s">
        <v>42</v>
      </c>
      <c r="C35" s="5">
        <f>C$26-(C$9-(SQRT((C$9^2)-48^2)))</f>
        <v>13.073777544509948</v>
      </c>
      <c r="D35" s="3" t="s">
        <v>113</v>
      </c>
    </row>
    <row r="36" spans="1:4" ht="12.75">
      <c r="A36" s="16">
        <v>36</v>
      </c>
      <c r="B36" s="3" t="s">
        <v>43</v>
      </c>
      <c r="C36" s="5">
        <f>C$26-(C$9-(SQRT((C$9^2)-54^2)))</f>
        <v>11.403840233337501</v>
      </c>
      <c r="D36" s="3" t="s">
        <v>115</v>
      </c>
    </row>
    <row r="37" spans="1:4" ht="12.75">
      <c r="A37" s="16">
        <v>37</v>
      </c>
      <c r="B37" s="3" t="s">
        <v>44</v>
      </c>
      <c r="C37" s="5">
        <f>C$26-(C$9-(SQRT((C$9^2)-60^2)))</f>
        <v>9.519159571808483</v>
      </c>
      <c r="D37" s="3" t="s">
        <v>116</v>
      </c>
    </row>
    <row r="38" spans="1:4" ht="12.75">
      <c r="A38" s="16">
        <v>38</v>
      </c>
      <c r="B38" s="3" t="s">
        <v>45</v>
      </c>
      <c r="C38" s="5">
        <f>C$26-(C$9-(SQRT((C$9^2)-66^2)))</f>
        <v>7.412930370101474</v>
      </c>
      <c r="D38" s="3" t="s">
        <v>117</v>
      </c>
    </row>
    <row r="39" spans="1:4" ht="12.75">
      <c r="A39" s="16">
        <v>39</v>
      </c>
      <c r="B39" s="3" t="s">
        <v>46</v>
      </c>
      <c r="C39" s="5">
        <f>C$26-(C$9-(SQRT((C$9^2)-72^2)))</f>
        <v>5.077202412902476</v>
      </c>
      <c r="D39" s="3" t="s">
        <v>118</v>
      </c>
    </row>
    <row r="40" spans="1:4" ht="12.75">
      <c r="A40" s="16">
        <v>40</v>
      </c>
      <c r="B40" s="3" t="s">
        <v>47</v>
      </c>
      <c r="C40" s="5">
        <v>0</v>
      </c>
      <c r="D40" s="3"/>
    </row>
    <row r="41" spans="1:4" ht="12.75">
      <c r="A41" s="16">
        <v>41</v>
      </c>
      <c r="B41" s="3" t="s">
        <v>7</v>
      </c>
      <c r="C41" s="7">
        <f>1/((COS(C$10)))*(C$4/2-(C$6*(SIN(C$10))))</f>
        <v>19.229166666666668</v>
      </c>
      <c r="D41" s="3" t="s">
        <v>106</v>
      </c>
    </row>
    <row r="42" spans="1:4" ht="12.75">
      <c r="A42" s="16">
        <v>42</v>
      </c>
      <c r="B42" s="3" t="s">
        <v>8</v>
      </c>
      <c r="C42" s="7">
        <f>(TAN(C$10))*(C$4/2-(C$6*(SIN(C$10))))</f>
        <v>7.395833333333334</v>
      </c>
      <c r="D42" s="3" t="s">
        <v>119</v>
      </c>
    </row>
    <row r="43" spans="1:4" ht="12.75">
      <c r="A43" s="16">
        <v>43</v>
      </c>
      <c r="B43" s="3" t="s">
        <v>4</v>
      </c>
      <c r="C43" s="5">
        <f>C$8-C$41</f>
        <v>6.770833333333332</v>
      </c>
      <c r="D43" s="3" t="s">
        <v>120</v>
      </c>
    </row>
    <row r="44" spans="1:4" ht="12" customHeight="1">
      <c r="A44" s="16">
        <v>44</v>
      </c>
      <c r="B44" s="3" t="s">
        <v>10</v>
      </c>
      <c r="C44" s="5">
        <f>2*SQRT((C$9^2)-((C$43+C$9-C$8)^2))</f>
        <v>166.6877017975698</v>
      </c>
      <c r="D44" s="3" t="s">
        <v>121</v>
      </c>
    </row>
    <row r="45" spans="1:4" ht="12.75">
      <c r="A45" s="16">
        <v>45</v>
      </c>
      <c r="B45" s="18" t="s">
        <v>18</v>
      </c>
      <c r="C45" s="18"/>
      <c r="D45" s="3"/>
    </row>
    <row r="46" spans="1:4" ht="12.75">
      <c r="A46" s="16">
        <v>46</v>
      </c>
      <c r="B46" s="3" t="s">
        <v>13</v>
      </c>
      <c r="C46" s="5">
        <f>ASIN((96-24)/C$9)</f>
        <v>0.3881618657718614</v>
      </c>
      <c r="D46" s="3" t="s">
        <v>122</v>
      </c>
    </row>
    <row r="47" spans="1:4" ht="12.75">
      <c r="A47" s="16">
        <v>47</v>
      </c>
      <c r="B47" s="3" t="s">
        <v>14</v>
      </c>
      <c r="C47" s="5">
        <f>C$46*180/PI()</f>
        <v>22.240036676651226</v>
      </c>
      <c r="D47" s="3" t="s">
        <v>123</v>
      </c>
    </row>
    <row r="48" spans="1:4" ht="12.75">
      <c r="A48" s="16">
        <v>48</v>
      </c>
      <c r="B48" s="3" t="s">
        <v>15</v>
      </c>
      <c r="C48" s="5">
        <f>1/TAN(C$46)*C$24</f>
        <v>28.974832993361655</v>
      </c>
      <c r="D48" s="3" t="s">
        <v>124</v>
      </c>
    </row>
    <row r="49" spans="1:4" ht="12.75">
      <c r="A49" s="16">
        <v>49</v>
      </c>
      <c r="B49" s="3" t="s">
        <v>19</v>
      </c>
      <c r="C49" s="5">
        <f>1/SIN(C$46)*C$24</f>
        <v>31.303624359445678</v>
      </c>
      <c r="D49" s="3" t="s">
        <v>125</v>
      </c>
    </row>
    <row r="50" spans="1:4" ht="12.75">
      <c r="A50" s="16">
        <v>50</v>
      </c>
      <c r="B50" s="3" t="s">
        <v>12</v>
      </c>
      <c r="C50" s="5">
        <f>(2*C$48)+(C$3-48)</f>
        <v>201.94966598672332</v>
      </c>
      <c r="D50" s="3" t="s">
        <v>126</v>
      </c>
    </row>
    <row r="51" spans="1:4" ht="12.75">
      <c r="A51" s="16">
        <v>51</v>
      </c>
      <c r="B51" s="3" t="s">
        <v>16</v>
      </c>
      <c r="C51" s="5">
        <f>1/TAN(C$46)*C$39</f>
        <v>12.41649629847548</v>
      </c>
      <c r="D51" s="3" t="s">
        <v>127</v>
      </c>
    </row>
    <row r="52" spans="1:4" ht="12.75">
      <c r="A52" s="16">
        <v>52</v>
      </c>
      <c r="B52" s="3" t="s">
        <v>20</v>
      </c>
      <c r="C52" s="5">
        <f>1/SIN(C$46)*C$39</f>
        <v>13.41444611870494</v>
      </c>
      <c r="D52" s="3" t="s">
        <v>128</v>
      </c>
    </row>
    <row r="53" spans="1:4" ht="12.75">
      <c r="A53" s="16">
        <v>53</v>
      </c>
      <c r="B53" s="3" t="s">
        <v>17</v>
      </c>
      <c r="C53" s="5">
        <f>(2*C$51)+(C$3-48)</f>
        <v>168.83299259695096</v>
      </c>
      <c r="D53" s="3" t="s">
        <v>129</v>
      </c>
    </row>
    <row r="54" spans="1:4" ht="15" customHeight="1">
      <c r="A54" s="16">
        <v>54</v>
      </c>
      <c r="B54" s="18" t="s">
        <v>50</v>
      </c>
      <c r="C54" s="18"/>
      <c r="D54" s="3"/>
    </row>
    <row r="55" spans="1:4" ht="12.75">
      <c r="A55" s="16">
        <v>55</v>
      </c>
      <c r="B55" s="3" t="s">
        <v>52</v>
      </c>
      <c r="C55" s="12">
        <v>0</v>
      </c>
      <c r="D55" s="3"/>
    </row>
    <row r="56" spans="1:4" ht="12.75">
      <c r="A56" s="16">
        <v>56</v>
      </c>
      <c r="B56" s="3" t="s">
        <v>75</v>
      </c>
      <c r="C56" s="5">
        <f>C$12*SIN(C$10)</f>
        <v>10</v>
      </c>
      <c r="D56" s="3" t="s">
        <v>130</v>
      </c>
    </row>
    <row r="57" spans="1:4" ht="12.75">
      <c r="A57" s="16">
        <v>57</v>
      </c>
      <c r="B57" s="3" t="s">
        <v>74</v>
      </c>
      <c r="C57" s="5">
        <f>C$13*SIN(C$10)</f>
        <v>9.963597899551841</v>
      </c>
      <c r="D57" s="3" t="s">
        <v>131</v>
      </c>
    </row>
    <row r="58" spans="1:4" ht="12.75">
      <c r="A58" s="16">
        <v>58</v>
      </c>
      <c r="B58" s="3" t="s">
        <v>73</v>
      </c>
      <c r="C58" s="5">
        <f>C$14*SIN(C$10)</f>
        <v>9.854282714674325</v>
      </c>
      <c r="D58" s="3" t="s">
        <v>132</v>
      </c>
    </row>
    <row r="59" spans="1:4" ht="12.75">
      <c r="A59" s="16">
        <v>59</v>
      </c>
      <c r="B59" s="3" t="s">
        <v>72</v>
      </c>
      <c r="C59" s="5">
        <f>C$15*SIN(C$10)</f>
        <v>9.6717261598184</v>
      </c>
      <c r="D59" s="3" t="s">
        <v>133</v>
      </c>
    </row>
    <row r="60" spans="1:4" ht="12.75">
      <c r="A60" s="16">
        <v>60</v>
      </c>
      <c r="B60" s="3" t="s">
        <v>61</v>
      </c>
      <c r="C60" s="5">
        <f>C$16*SIN(C$10)</f>
        <v>9.415375584940172</v>
      </c>
      <c r="D60" s="3" t="s">
        <v>134</v>
      </c>
    </row>
    <row r="61" spans="1:4" ht="12.75">
      <c r="A61" s="16">
        <v>61</v>
      </c>
      <c r="B61" s="3" t="s">
        <v>60</v>
      </c>
      <c r="C61" s="5">
        <f>C$17*SIN(C$10)</f>
        <v>9.084445508919648</v>
      </c>
      <c r="D61" s="3" t="s">
        <v>135</v>
      </c>
    </row>
    <row r="62" spans="1:4" ht="12.75">
      <c r="A62" s="16">
        <v>62</v>
      </c>
      <c r="B62" s="3" t="s">
        <v>59</v>
      </c>
      <c r="C62" s="5">
        <f>C$18*SIN(C$10)</f>
        <v>8.677905341926854</v>
      </c>
      <c r="D62" s="3" t="s">
        <v>136</v>
      </c>
    </row>
    <row r="63" spans="1:4" ht="12.75">
      <c r="A63" s="16">
        <v>63</v>
      </c>
      <c r="B63" s="3" t="s">
        <v>58</v>
      </c>
      <c r="C63" s="5">
        <f>C$19*SIN(C$10)</f>
        <v>8.194462839050255</v>
      </c>
      <c r="D63" s="3" t="s">
        <v>137</v>
      </c>
    </row>
    <row r="64" spans="1:4" ht="12.75">
      <c r="A64" s="16">
        <v>64</v>
      </c>
      <c r="B64" s="3" t="s">
        <v>57</v>
      </c>
      <c r="C64" s="5">
        <f>C$20*SIN(C$10)</f>
        <v>7.632542645324339</v>
      </c>
      <c r="D64" s="3" t="s">
        <v>138</v>
      </c>
    </row>
    <row r="65" spans="1:4" ht="12.75">
      <c r="A65" s="16">
        <v>65</v>
      </c>
      <c r="B65" s="3" t="s">
        <v>56</v>
      </c>
      <c r="C65" s="5">
        <f>C$21*SIN(C$10)</f>
        <v>6.990259064104167</v>
      </c>
      <c r="D65" s="3" t="s">
        <v>139</v>
      </c>
    </row>
    <row r="66" spans="1:4" ht="12.75">
      <c r="A66" s="16">
        <v>66</v>
      </c>
      <c r="B66" s="3" t="s">
        <v>55</v>
      </c>
      <c r="C66" s="5">
        <f>C$22*SIN(C$10)</f>
        <v>6.265381886593007</v>
      </c>
      <c r="D66" s="3" t="s">
        <v>140</v>
      </c>
    </row>
    <row r="67" spans="1:4" ht="12.75">
      <c r="A67" s="16">
        <v>67</v>
      </c>
      <c r="B67" s="3" t="s">
        <v>54</v>
      </c>
      <c r="C67" s="5">
        <f>C$23*SIN(C$10)</f>
        <v>5.45529373209031</v>
      </c>
      <c r="D67" s="3" t="s">
        <v>141</v>
      </c>
    </row>
    <row r="68" spans="1:4" ht="12.75">
      <c r="A68" s="16">
        <v>68</v>
      </c>
      <c r="B68" s="3" t="s">
        <v>53</v>
      </c>
      <c r="C68" s="5">
        <f>C$24*SIN(C$10)</f>
        <v>4.5569368254753115</v>
      </c>
      <c r="D68" s="3" t="s">
        <v>142</v>
      </c>
    </row>
    <row r="69" spans="1:4" ht="12.75">
      <c r="A69" s="16">
        <v>69</v>
      </c>
      <c r="B69" s="3" t="s">
        <v>62</v>
      </c>
      <c r="C69" s="7">
        <f>C$70-C$42</f>
        <v>17.604166666666664</v>
      </c>
      <c r="D69" s="3" t="s">
        <v>143</v>
      </c>
    </row>
    <row r="70" spans="1:4" ht="12.75">
      <c r="A70" s="16">
        <v>70</v>
      </c>
      <c r="B70" s="3" t="s">
        <v>79</v>
      </c>
      <c r="C70" s="5">
        <v>25</v>
      </c>
      <c r="D70" s="3"/>
    </row>
    <row r="71" spans="1:4" ht="12.75">
      <c r="A71" s="16">
        <v>71</v>
      </c>
      <c r="B71" s="3" t="s">
        <v>78</v>
      </c>
      <c r="C71" s="5">
        <f>C$70-((C$27-C$28)*SIN(C$10))</f>
        <v>24.96359789955184</v>
      </c>
      <c r="D71" s="3" t="s">
        <v>144</v>
      </c>
    </row>
    <row r="72" spans="1:4" ht="12.75">
      <c r="A72" s="16">
        <v>72</v>
      </c>
      <c r="B72" s="3" t="s">
        <v>77</v>
      </c>
      <c r="C72" s="5">
        <f>C$70-((C$27-C$29)*SIN(C$10))</f>
        <v>24.854282714674323</v>
      </c>
      <c r="D72" s="3" t="s">
        <v>145</v>
      </c>
    </row>
    <row r="73" spans="1:4" ht="12.75">
      <c r="A73" s="16">
        <v>73</v>
      </c>
      <c r="B73" s="3" t="s">
        <v>76</v>
      </c>
      <c r="C73" s="5">
        <f>C$70-((C$27-C$30)*SIN(C$10))</f>
        <v>24.671726159818398</v>
      </c>
      <c r="D73" s="3" t="s">
        <v>146</v>
      </c>
    </row>
    <row r="74" spans="1:4" ht="12.75">
      <c r="A74" s="16">
        <v>74</v>
      </c>
      <c r="B74" s="3" t="s">
        <v>63</v>
      </c>
      <c r="C74" s="5">
        <f>C$70-((C$27-C$31)*SIN(C$10))</f>
        <v>24.415375584940172</v>
      </c>
      <c r="D74" s="3" t="s">
        <v>147</v>
      </c>
    </row>
    <row r="75" spans="1:4" ht="12.75">
      <c r="A75" s="16">
        <v>75</v>
      </c>
      <c r="B75" s="3" t="s">
        <v>64</v>
      </c>
      <c r="C75" s="5">
        <f>C$70-((C$27-C$32)*SIN(C$10))</f>
        <v>24.08444550891965</v>
      </c>
      <c r="D75" s="3" t="s">
        <v>148</v>
      </c>
    </row>
    <row r="76" spans="1:4" ht="12.75">
      <c r="A76" s="16">
        <v>76</v>
      </c>
      <c r="B76" s="3" t="s">
        <v>65</v>
      </c>
      <c r="C76" s="5">
        <f>C$70-((C$27-C$33)*SIN(C$10))</f>
        <v>23.677905341926852</v>
      </c>
      <c r="D76" s="3" t="s">
        <v>149</v>
      </c>
    </row>
    <row r="77" spans="1:4" ht="12.75">
      <c r="A77" s="16">
        <v>77</v>
      </c>
      <c r="B77" s="3" t="s">
        <v>66</v>
      </c>
      <c r="C77" s="5">
        <f>C$70-((C$27-C$34)*SIN(C$10))</f>
        <v>23.194462839050253</v>
      </c>
      <c r="D77" s="3" t="s">
        <v>150</v>
      </c>
    </row>
    <row r="78" spans="1:4" ht="12.75">
      <c r="A78" s="16">
        <v>78</v>
      </c>
      <c r="B78" s="3" t="s">
        <v>67</v>
      </c>
      <c r="C78" s="5">
        <f>C$70-((C$27-C$35)*SIN(C$10))</f>
        <v>22.63254264532434</v>
      </c>
      <c r="D78" s="3" t="s">
        <v>151</v>
      </c>
    </row>
    <row r="79" spans="1:4" ht="12.75">
      <c r="A79" s="16">
        <v>79</v>
      </c>
      <c r="B79" s="3" t="s">
        <v>68</v>
      </c>
      <c r="C79" s="5">
        <f>C$70-((C$27-C$36)*SIN(C$10))</f>
        <v>21.990259064104166</v>
      </c>
      <c r="D79" s="3" t="s">
        <v>152</v>
      </c>
    </row>
    <row r="80" spans="1:4" ht="12.75">
      <c r="A80" s="16">
        <v>80</v>
      </c>
      <c r="B80" s="3" t="s">
        <v>69</v>
      </c>
      <c r="C80" s="5">
        <f>C$70-((C$27-C$37)*SIN(C$10))</f>
        <v>21.265381886593005</v>
      </c>
      <c r="D80" s="3" t="s">
        <v>153</v>
      </c>
    </row>
    <row r="81" spans="1:4" ht="12.75">
      <c r="A81" s="16">
        <v>81</v>
      </c>
      <c r="B81" s="3" t="s">
        <v>70</v>
      </c>
      <c r="C81" s="5">
        <f>C$70-((C$27-C$38)*SIN(C$10))</f>
        <v>20.45529373209031</v>
      </c>
      <c r="D81" s="3" t="s">
        <v>154</v>
      </c>
    </row>
    <row r="82" spans="1:4" ht="12.75">
      <c r="A82" s="16">
        <v>82</v>
      </c>
      <c r="B82" s="3" t="s">
        <v>71</v>
      </c>
      <c r="C82" s="5">
        <f>C$70-((C$27-C$39)*SIN(C$10))</f>
        <v>19.55693682547531</v>
      </c>
      <c r="D82" s="3" t="s">
        <v>155</v>
      </c>
    </row>
    <row r="83" spans="1:4" ht="12.75">
      <c r="A83" s="16">
        <v>83</v>
      </c>
      <c r="B83" s="3" t="s">
        <v>80</v>
      </c>
      <c r="C83" s="5">
        <f>SQRT((((C$50-C$53)/2)^2)+(C$69^2))</f>
        <v>24.16785464473402</v>
      </c>
      <c r="D83" s="3" t="s">
        <v>156</v>
      </c>
    </row>
    <row r="84" spans="1:4" ht="12.75">
      <c r="A84" s="16">
        <v>84</v>
      </c>
      <c r="B84" s="3" t="s">
        <v>81</v>
      </c>
      <c r="C84" s="5">
        <f>(C$9*2*PI())*(2*(ASIN(72/C$9))/(2*PI()))</f>
        <v>147.68066062366356</v>
      </c>
      <c r="D84" s="3" t="s">
        <v>157</v>
      </c>
    </row>
    <row r="85" spans="1:4" s="2" customFormat="1" ht="12.75">
      <c r="A85" s="16">
        <v>85</v>
      </c>
      <c r="B85" s="3" t="s">
        <v>82</v>
      </c>
      <c r="C85" s="5">
        <f>C$84+(2*C$49)</f>
        <v>210.2879093425549</v>
      </c>
      <c r="D85" s="3" t="s">
        <v>158</v>
      </c>
    </row>
    <row r="86" spans="1:4" s="2" customFormat="1" ht="12.75">
      <c r="A86" s="16">
        <v>86</v>
      </c>
      <c r="B86" s="3" t="s">
        <v>83</v>
      </c>
      <c r="C86" s="5">
        <f>C$84+(2*C$52)</f>
        <v>174.50955286107344</v>
      </c>
      <c r="D86" s="3" t="s">
        <v>159</v>
      </c>
    </row>
    <row r="87" spans="1:4" s="2" customFormat="1" ht="12.75">
      <c r="A87" s="19" t="s">
        <v>161</v>
      </c>
      <c r="B87" s="19"/>
      <c r="C87" s="19"/>
      <c r="D87" s="19"/>
    </row>
    <row r="88" spans="1:4" s="2" customFormat="1" ht="12.75">
      <c r="A88" s="16">
        <v>88</v>
      </c>
      <c r="B88" s="20" t="s">
        <v>162</v>
      </c>
      <c r="C88" s="21">
        <v>168.832</v>
      </c>
      <c r="D88" s="20" t="s">
        <v>163</v>
      </c>
    </row>
    <row r="89" spans="1:4" s="2" customFormat="1" ht="12.75">
      <c r="A89" s="16">
        <v>89</v>
      </c>
      <c r="B89" s="20" t="s">
        <v>164</v>
      </c>
      <c r="C89" s="21">
        <v>7.399</v>
      </c>
      <c r="D89" s="20" t="s">
        <v>165</v>
      </c>
    </row>
    <row r="90" spans="1:4" s="2" customFormat="1" ht="12.75">
      <c r="A90" s="16">
        <v>90</v>
      </c>
      <c r="B90" s="20" t="s">
        <v>166</v>
      </c>
      <c r="C90" s="5">
        <f>((C$88/2)^2+C$89^2)/(C$89*2)</f>
        <v>485.25518698472763</v>
      </c>
      <c r="D90" s="5" t="s">
        <v>167</v>
      </c>
    </row>
    <row r="91" spans="1:4" s="2" customFormat="1" ht="12.75">
      <c r="A91" s="16"/>
      <c r="B91" s="3"/>
      <c r="C91" s="5"/>
      <c r="D91" s="3"/>
    </row>
    <row r="92" spans="1:4" s="2" customFormat="1" ht="12.75">
      <c r="A92" s="16"/>
      <c r="B92" s="3"/>
      <c r="C92" s="5"/>
      <c r="D92" s="3"/>
    </row>
    <row r="93" spans="1:4" s="2" customFormat="1" ht="12.75">
      <c r="A93" s="16"/>
      <c r="B93" s="3"/>
      <c r="C93" s="5"/>
      <c r="D93" s="3"/>
    </row>
    <row r="94" spans="1:4" s="2" customFormat="1" ht="12.75">
      <c r="A94" s="16"/>
      <c r="B94" s="3"/>
      <c r="C94" s="5"/>
      <c r="D94" s="3"/>
    </row>
    <row r="95" spans="1:4" s="2" customFormat="1" ht="12.75">
      <c r="A95" s="16"/>
      <c r="B95" s="3"/>
      <c r="C95" s="5"/>
      <c r="D95" s="3"/>
    </row>
    <row r="96" spans="1:4" s="2" customFormat="1" ht="12.75">
      <c r="A96" s="16"/>
      <c r="B96" s="3"/>
      <c r="C96" s="5"/>
      <c r="D96" s="3"/>
    </row>
    <row r="97" spans="1:4" s="2" customFormat="1" ht="12.75">
      <c r="A97" s="16"/>
      <c r="B97" s="3"/>
      <c r="C97" s="5"/>
      <c r="D97" s="3"/>
    </row>
    <row r="98" spans="1:4" s="2" customFormat="1" ht="12.75">
      <c r="A98" s="16"/>
      <c r="B98" s="3"/>
      <c r="C98" s="5"/>
      <c r="D98" s="3"/>
    </row>
    <row r="99" spans="1:4" s="2" customFormat="1" ht="12.75">
      <c r="A99" s="16"/>
      <c r="B99" s="3"/>
      <c r="C99" s="5"/>
      <c r="D99" s="3"/>
    </row>
    <row r="100" spans="1:4" s="2" customFormat="1" ht="12.75">
      <c r="A100" s="16"/>
      <c r="B100" s="3"/>
      <c r="C100" s="5"/>
      <c r="D100" s="3"/>
    </row>
    <row r="101" spans="1:4" s="2" customFormat="1" ht="36" customHeight="1">
      <c r="A101" s="16"/>
      <c r="B101" s="17" t="s">
        <v>160</v>
      </c>
      <c r="C101" s="17"/>
      <c r="D101" s="17"/>
    </row>
    <row r="102" spans="1:3" s="2" customFormat="1" ht="12.75">
      <c r="A102" s="16"/>
      <c r="C102" s="4"/>
    </row>
    <row r="103" spans="1:3" s="2" customFormat="1" ht="12.75">
      <c r="A103" s="16"/>
      <c r="C103" s="4"/>
    </row>
    <row r="104" spans="1:3" s="2" customFormat="1" ht="12.75">
      <c r="A104" s="16"/>
      <c r="C104" s="4"/>
    </row>
    <row r="105" spans="1:3" s="2" customFormat="1" ht="12.75">
      <c r="A105" s="16"/>
      <c r="C105" s="4"/>
    </row>
    <row r="106" spans="1:3" s="2" customFormat="1" ht="12.75">
      <c r="A106" s="16"/>
      <c r="C106" s="4"/>
    </row>
    <row r="107" spans="1:3" s="2" customFormat="1" ht="12.75">
      <c r="A107" s="16"/>
      <c r="C107" s="4"/>
    </row>
    <row r="108" spans="1:3" s="2" customFormat="1" ht="12.75">
      <c r="A108" s="16"/>
      <c r="C108" s="4"/>
    </row>
    <row r="109" spans="1:3" s="2" customFormat="1" ht="12.75">
      <c r="A109" s="16"/>
      <c r="C109" s="4"/>
    </row>
    <row r="110" spans="1:3" s="2" customFormat="1" ht="12.75">
      <c r="A110" s="16"/>
      <c r="C110" s="4"/>
    </row>
    <row r="111" spans="1:3" s="2" customFormat="1" ht="12.75">
      <c r="A111" s="16"/>
      <c r="C111" s="4"/>
    </row>
    <row r="112" spans="1:3" s="2" customFormat="1" ht="12.75">
      <c r="A112" s="16"/>
      <c r="C112" s="4"/>
    </row>
    <row r="113" spans="1:3" s="2" customFormat="1" ht="12.75">
      <c r="A113" s="16"/>
      <c r="C113" s="4"/>
    </row>
    <row r="114" spans="1:3" s="2" customFormat="1" ht="12.75">
      <c r="A114" s="16"/>
      <c r="C114" s="4"/>
    </row>
    <row r="115" spans="1:3" s="2" customFormat="1" ht="12.75">
      <c r="A115" s="16"/>
      <c r="C115" s="4"/>
    </row>
    <row r="116" spans="1:3" s="2" customFormat="1" ht="12.75">
      <c r="A116" s="16"/>
      <c r="C116" s="4"/>
    </row>
    <row r="117" spans="1:3" s="2" customFormat="1" ht="12.75">
      <c r="A117" s="16"/>
      <c r="C117" s="4"/>
    </row>
    <row r="118" spans="1:3" s="2" customFormat="1" ht="12.75">
      <c r="A118" s="16"/>
      <c r="C118" s="4"/>
    </row>
    <row r="119" spans="1:3" s="2" customFormat="1" ht="12.75">
      <c r="A119" s="16"/>
      <c r="C119" s="4"/>
    </row>
    <row r="120" spans="1:3" s="2" customFormat="1" ht="12.75">
      <c r="A120" s="16"/>
      <c r="C120" s="4"/>
    </row>
    <row r="121" spans="1:3" s="2" customFormat="1" ht="12.75">
      <c r="A121" s="16"/>
      <c r="C121" s="4"/>
    </row>
  </sheetData>
  <sheetProtection sheet="1" objects="1" scenarios="1"/>
  <mergeCells count="6">
    <mergeCell ref="B101:D101"/>
    <mergeCell ref="B54:C54"/>
    <mergeCell ref="B45:C45"/>
    <mergeCell ref="B1:C1"/>
    <mergeCell ref="B7:C7"/>
    <mergeCell ref="A87:D87"/>
  </mergeCells>
  <printOptions gridLines="1" horizontalCentered="1"/>
  <pageMargins left="0.75" right="0.7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Destruction Unlimited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2010-12-30T01:52:07Z</cp:lastPrinted>
  <dcterms:created xsi:type="dcterms:W3CDTF">2010-12-28T20:45:13Z</dcterms:created>
  <dcterms:modified xsi:type="dcterms:W3CDTF">2010-12-30T02:03:31Z</dcterms:modified>
  <cp:category/>
  <cp:version/>
  <cp:contentType/>
  <cp:contentStatus/>
</cp:coreProperties>
</file>